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_xlnm.Print_Area" localSheetId="0">'Planner'!$A$1:$L$65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<sst xmlns="http://schemas.openxmlformats.org/spreadsheetml/2006/main" count="804" uniqueCount="712">
  <si>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</si>
  <si>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</si>
  <si>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</si>
  <si>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</si>
  <si>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</si>
  <si>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</si>
  <si>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</si>
  <si>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</si>
  <si>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</si>
  <si>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</si>
  <si>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</si>
  <si>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</si>
  <si>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</si>
  <si>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</si>
  <si>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</si>
  <si>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</si>
  <si>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</si>
  <si>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</si>
  <si>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</si>
  <si>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</si>
  <si>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</si>
  <si>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</si>
  <si>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</si>
  <si>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</si>
  <si>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</si>
  <si>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</si>
  <si>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</si>
  <si>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</si>
  <si>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</si>
  <si>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</si>
  <si>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</si>
  <si>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</si>
  <si>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</si>
  <si>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</si>
  <si>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</si>
  <si>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</si>
  <si>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</si>
  <si>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</si>
  <si>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</si>
  <si>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</si>
  <si>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</si>
  <si>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</si>
  <si>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</si>
  <si>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</si>
  <si>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</si>
  <si>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</si>
  <si>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</si>
  <si>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</si>
  <si>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</si>
  <si>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</si>
  <si>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</si>
  <si>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</si>
  <si>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</si>
  <si>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</si>
  <si>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</si>
  <si>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</si>
  <si>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</si>
  <si>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</si>
  <si>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</si>
  <si>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</si>
  <si>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</si>
  <si>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</si>
  <si>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</si>
  <si>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</si>
  <si>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</si>
  <si>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</si>
  <si>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</si>
  <si>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</si>
  <si>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</si>
  <si>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</si>
  <si>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</si>
  <si>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</si>
  <si>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</si>
  <si>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</si>
  <si>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</si>
  <si>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</si>
  <si>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</si>
  <si>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</si>
  <si>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</si>
  <si>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</si>
  <si>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</si>
  <si>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</si>
  <si>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</si>
  <si>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</si>
  <si>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</si>
  <si>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</si>
  <si>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</si>
  <si>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</si>
  <si>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</si>
  <si>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</si>
  <si>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</si>
  <si>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</si>
  <si>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</si>
  <si>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</si>
  <si>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</si>
  <si>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</si>
  <si>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</si>
  <si>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</si>
  <si>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</si>
  <si>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</si>
  <si>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</si>
  <si>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</si>
  <si>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</si>
  <si>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</si>
  <si>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</si>
  <si>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</si>
  <si>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</si>
  <si>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</si>
  <si>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</si>
  <si>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</si>
  <si>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</si>
  <si>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</si>
  <si>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</si>
  <si>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</si>
  <si>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</si>
  <si>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</si>
  <si>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</si>
  <si>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</si>
  <si>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</si>
  <si>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</si>
  <si>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</si>
  <si>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</si>
  <si>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</si>
  <si>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</si>
  <si>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</si>
  <si>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</si>
  <si>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</si>
  <si>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</si>
  <si>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</si>
  <si>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</si>
  <si>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</si>
  <si>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</si>
  <si>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</si>
  <si>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</si>
  <si>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</si>
  <si>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</si>
  <si>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</si>
  <si>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</si>
  <si>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</si>
  <si>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</si>
  <si>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</si>
  <si>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</si>
  <si>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</si>
  <si>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</si>
  <si>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</si>
  <si>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</si>
  <si>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</si>
  <si>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</si>
  <si>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</si>
  <si>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</si>
  <si>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</si>
  <si>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</si>
  <si>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</si>
  <si>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</si>
  <si>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</si>
  <si>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</si>
  <si>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</si>
  <si>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</si>
  <si>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</si>
  <si>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</si>
  <si>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</si>
  <si>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</si>
  <si>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</si>
  <si>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</si>
  <si>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</si>
  <si>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</si>
  <si>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</si>
  <si>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</si>
  <si>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</si>
  <si>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</si>
  <si>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</si>
  <si>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</si>
  <si>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</si>
  <si>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</si>
  <si>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</si>
  <si>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</si>
  <si>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</si>
  <si>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</si>
  <si>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</si>
  <si>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</si>
  <si>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</si>
  <si>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</si>
  <si>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</si>
  <si>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</si>
  <si>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</si>
  <si>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</si>
  <si>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</si>
  <si>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</si>
  <si>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</si>
  <si>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</si>
  <si>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</si>
  <si>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</si>
  <si>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</si>
  <si>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</si>
  <si>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</si>
  <si>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</si>
  <si>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</si>
  <si>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</si>
  <si>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</si>
  <si>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</si>
  <si>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</si>
  <si>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</si>
  <si>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</si>
  <si>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</si>
  <si>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</si>
  <si>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</si>
  <si>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</si>
  <si>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</si>
  <si>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</si>
  <si>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</si>
  <si>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</si>
  <si>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</si>
  <si>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</si>
  <si>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</si>
  <si>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</si>
  <si>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</si>
  <si>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</si>
  <si>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</si>
  <si>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</si>
  <si>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</si>
  <si>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</si>
  <si>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</si>
  <si>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</si>
  <si>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</si>
  <si>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</si>
  <si>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</si>
  <si>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</si>
  <si>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</si>
  <si>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</si>
  <si>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</si>
  <si>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</si>
  <si>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</si>
  <si>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</si>
  <si>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</si>
  <si>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</si>
  <si>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</si>
  <si>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</si>
  <si>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</si>
  <si>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</si>
  <si>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</si>
  <si>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</si>
  <si>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</si>
  <si>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</si>
  <si>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</si>
  <si>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</si>
  <si>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</si>
  <si>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</si>
  <si>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</si>
  <si>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</si>
  <si>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</si>
  <si>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</si>
  <si>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</si>
  <si>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</si>
  <si>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</si>
  <si>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</si>
  <si>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</si>
  <si>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</si>
  <si>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</si>
  <si>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</si>
  <si>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</si>
  <si>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</si>
  <si>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</si>
  <si>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</si>
  <si>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</si>
  <si>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</si>
  <si>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</si>
  <si>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</si>
  <si>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</si>
  <si>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</si>
  <si>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</si>
  <si>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</si>
  <si>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</si>
  <si>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</si>
  <si>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</si>
  <si>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</si>
  <si>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</si>
  <si>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</si>
  <si>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</si>
  <si>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</si>
  <si>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</si>
  <si>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</si>
  <si>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</si>
  <si>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</si>
  <si>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</si>
  <si>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</si>
  <si>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</si>
  <si>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</si>
  <si>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</si>
  <si>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</si>
  <si>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</si>
  <si>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</si>
  <si>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</si>
  <si>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</si>
  <si>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</si>
  <si>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</si>
  <si>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</si>
  <si>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</si>
  <si>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</si>
  <si>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</si>
  <si>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</si>
  <si>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</si>
  <si>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</si>
  <si>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</si>
  <si>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</si>
  <si>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</si>
  <si>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</si>
  <si>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</si>
  <si>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</si>
  <si>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</si>
  <si>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</si>
  <si>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</si>
  <si>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</si>
  <si>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</si>
  <si>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</si>
  <si>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</si>
  <si>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</si>
  <si>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</si>
  <si>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</si>
  <si>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</si>
  <si>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</si>
  <si>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</si>
  <si>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</si>
  <si>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</si>
  <si>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</si>
  <si>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</si>
  <si>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</si>
  <si>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</si>
  <si>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</si>
  <si>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</si>
  <si>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</si>
  <si>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</si>
  <si>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</si>
  <si>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</si>
  <si>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</si>
  <si>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</si>
  <si>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</si>
  <si>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</si>
  <si>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</si>
  <si>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</si>
  <si>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</si>
  <si>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</si>
  <si>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</si>
  <si>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</si>
  <si>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</si>
  <si>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</si>
  <si>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</si>
  <si>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</si>
  <si>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</si>
  <si>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</si>
  <si>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</si>
  <si>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</si>
  <si>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</si>
  <si>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</si>
  <si>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</si>
  <si>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</si>
  <si>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</si>
  <si>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</si>
  <si>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</si>
  <si>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</si>
  <si>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</si>
  <si>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</si>
  <si>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</si>
  <si>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</si>
  <si>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</si>
  <si>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</si>
  <si>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</si>
  <si>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</si>
  <si>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</si>
  <si>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</si>
  <si>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</si>
  <si>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</si>
  <si>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</si>
  <si>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</si>
  <si>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</si>
  <si>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</si>
  <si>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</si>
  <si>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</si>
  <si>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</si>
  <si>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</si>
  <si>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</si>
  <si>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</si>
  <si>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</si>
  <si>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</si>
  <si>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</si>
  <si>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</si>
  <si>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</si>
  <si>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</si>
  <si>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</si>
  <si>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</si>
  <si>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</si>
  <si>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</si>
  <si>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</si>
  <si>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</si>
  <si>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</si>
  <si>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</si>
  <si>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</si>
  <si>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</si>
  <si>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</si>
  <si>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</si>
  <si>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</si>
  <si>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</si>
  <si>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</si>
  <si>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</si>
  <si>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</si>
  <si>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</si>
  <si>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</si>
  <si>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</si>
  <si>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</si>
  <si>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</si>
  <si>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</si>
  <si>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</si>
  <si>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</si>
  <si>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</si>
  <si>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</si>
  <si>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</si>
  <si>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</si>
  <si>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</si>
  <si>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</si>
  <si>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</si>
  <si>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</si>
  <si>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</si>
  <si>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</si>
  <si>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</si>
  <si>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</si>
  <si>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</si>
  <si>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</si>
  <si>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</si>
  <si>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</si>
  <si>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</si>
  <si>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</si>
  <si>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</si>
  <si>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</si>
  <si>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</si>
  <si>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</si>
  <si>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</si>
  <si>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</si>
  <si>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</si>
  <si>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</si>
  <si>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</si>
  <si>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</si>
  <si>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</si>
  <si>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</si>
  <si>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</si>
  <si>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</si>
  <si>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</si>
  <si>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</si>
  <si>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</si>
  <si>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</si>
  <si>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</si>
  <si>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</si>
  <si>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</si>
  <si>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</si>
  <si>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</si>
  <si>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</si>
  <si>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</si>
  <si>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</si>
  <si>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</si>
  <si>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</si>
  <si>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</si>
  <si>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</si>
  <si>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</si>
  <si>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</si>
  <si>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</si>
  <si>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</si>
  <si>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</si>
  <si>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</si>
  <si>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</si>
  <si>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</si>
  <si>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</si>
  <si>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</si>
  <si>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</si>
  <si>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</si>
  <si>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</si>
  <si>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</si>
  <si>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</si>
  <si>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</si>
  <si>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</si>
  <si>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</si>
  <si>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</si>
  <si>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</si>
  <si>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</si>
  <si>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</si>
  <si>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</si>
  <si>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</si>
  <si>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</si>
  <si>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</si>
  <si>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</si>
  <si>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</si>
  <si>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</si>
  <si>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</si>
  <si>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</si>
  <si>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</si>
  <si>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</si>
  <si>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</si>
  <si>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</si>
  <si>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</si>
  <si>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</si>
  <si>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</si>
  <si>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</si>
  <si>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</si>
  <si>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</si>
  <si>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</si>
  <si>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</si>
  <si>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</si>
  <si>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</si>
  <si>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</si>
  <si>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</si>
  <si>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</si>
  <si>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</si>
  <si>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</si>
  <si>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</si>
  <si>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</si>
  <si>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</si>
  <si>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</si>
  <si>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</si>
  <si>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</si>
  <si>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</si>
  <si>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</si>
  <si>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</si>
  <si>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</si>
  <si>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</si>
  <si>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</si>
  <si>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</si>
  <si>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</si>
  <si>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</si>
  <si>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</si>
  <si>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</si>
  <si>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</si>
  <si>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</si>
  <si>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</si>
  <si>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</si>
  <si>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</si>
  <si>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</si>
  <si>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</si>
  <si>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</si>
  <si>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</si>
  <si>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</si>
  <si>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</si>
  <si>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</si>
  <si>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</si>
  <si>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</si>
  <si>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</si>
  <si>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</si>
  <si>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</si>
  <si>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</si>
  <si>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</si>
  <si>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</si>
  <si>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</si>
  <si>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</si>
  <si>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</si>
  <si>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</si>
  <si>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</si>
  <si>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</si>
  <si>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</si>
  <si>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</si>
  <si>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</si>
  <si>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</si>
  <si>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</si>
  <si>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</si>
  <si>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</si>
  <si>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</si>
  <si>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</si>
  <si>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</si>
  <si>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</si>
  <si>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</si>
  <si>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</si>
  <si>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</si>
  <si>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</si>
  <si>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</si>
  <si>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</si>
  <si>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</si>
  <si>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</si>
  <si>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</si>
  <si>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</si>
  <si>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</si>
  <si>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</si>
  <si>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</si>
  <si>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</si>
  <si>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</si>
  <si>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</si>
  <si>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</si>
  <si>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</si>
  <si>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</si>
  <si>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</si>
  <si>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</si>
  <si>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</si>
  <si>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</si>
  <si>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</si>
  <si>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</si>
  <si>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</si>
  <si>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</si>
  <si>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</si>
  <si>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</si>
  <si>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</si>
  <si>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</si>
  <si>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</si>
  <si>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</si>
  <si>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</si>
  <si>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</si>
  <si>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</si>
  <si>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</si>
  <si>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</si>
  <si>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</si>
  <si>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</si>
  <si>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</si>
  <si>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</si>
  <si>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</si>
  <si>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</si>
  <si>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</si>
  <si>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</si>
  <si>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</si>
  <si>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</si>
  <si>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</si>
  <si>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</si>
  <si>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</si>
  <si>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</si>
  <si>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</si>
  <si>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</si>
  <si>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</si>
  <si>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</si>
  <si>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</si>
  <si>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</si>
  <si>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</si>
  <si>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</si>
  <si>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</si>
  <si>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</si>
  <si>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</si>
  <si>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</si>
  <si>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</si>
  <si>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</si>
  <si>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</si>
  <si>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</si>
  <si>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</si>
  <si>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</si>
  <si>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</si>
  <si>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</si>
  <si>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</si>
  <si>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</si>
  <si>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</si>
  <si>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</si>
  <si>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</si>
  <si>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</si>
  <si>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</si>
  <si>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</si>
  <si>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</si>
  <si>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</si>
  <si>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</si>
  <si>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</si>
  <si>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</si>
  <si>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</si>
  <si>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</si>
  <si>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</si>
  <si>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</si>
  <si>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</si>
  <si>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</si>
  <si>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</si>
  <si>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</si>
  <si>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</si>
  <si>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</si>
  <si>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</si>
  <si>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</si>
  <si>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</si>
  <si>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</si>
  <si>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</si>
  <si>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</si>
  <si>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</si>
  <si>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</si>
  <si>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</si>
  <si>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</si>
  <si>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</si>
  <si>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</si>
  <si>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</si>
  <si>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</si>
  <si>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</si>
  <si>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</si>
  <si>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</si>
  <si>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</si>
  <si>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</si>
  <si>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</si>
  <si>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</si>
  <si>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</si>
  <si>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</si>
  <si>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</si>
  <si>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</si>
  <si>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</si>
  <si>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</si>
  <si>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</si>
  <si>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</si>
  <si>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</si>
  <si>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</si>
  <si>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</si>
  <si>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</si>
  <si>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</si>
  <si>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</si>
  <si>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</si>
  <si>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</si>
  <si>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</si>
  <si>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</si>
  <si>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</si>
  <si>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</si>
  <si>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</si>
  <si>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</si>
  <si>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</si>
  <si>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</si>
  <si>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</si>
  <si>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</si>
  <si>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</si>
  <si>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</si>
  <si>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REFRAC</t>
  </si>
  <si>
    <t>Recept 23</t>
  </si>
  <si>
    <t>N</t>
  </si>
  <si>
    <t>Tripel v3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</si>
</sst>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0" borderId="3" applyNumberFormat="0" applyFill="0" applyAlignment="0" applyProtection="0"/>
    <xf numFmtId="0" fontId="108" fillId="28" borderId="0" applyNumberFormat="0" applyBorder="0" applyAlignment="0" applyProtection="0"/>
    <xf numFmtId="0" fontId="10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0" fillId="31" borderId="7" applyNumberFormat="0" applyFont="0" applyAlignment="0" applyProtection="0"/>
    <xf numFmtId="0" fontId="114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3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4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4" applyFont="1" applyFill="1" applyAlignment="1">
      <alignment horizontal="center"/>
      <protection/>
    </xf>
    <xf numFmtId="1" fontId="19" fillId="44" borderId="0" xfId="54" applyNumberFormat="1" applyFont="1" applyFill="1">
      <alignment/>
      <protection/>
    </xf>
    <xf numFmtId="0" fontId="19" fillId="44" borderId="0" xfId="54" applyFont="1" applyFill="1">
      <alignment/>
      <protection/>
    </xf>
    <xf numFmtId="0" fontId="19" fillId="0" borderId="0" xfId="54" applyFont="1" applyFill="1" applyAlignment="1">
      <alignment horizontal="center"/>
      <protection/>
    </xf>
    <xf numFmtId="0" fontId="19" fillId="0" borderId="0" xfId="54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4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4" applyFont="1" applyFill="1" applyBorder="1" applyAlignment="1">
      <alignment horizontal="center"/>
      <protection/>
    </xf>
    <xf numFmtId="0" fontId="42" fillId="53" borderId="110" xfId="54" applyFont="1" applyFill="1" applyBorder="1" applyAlignment="1">
      <alignment horizontal="center"/>
      <protection/>
    </xf>
    <xf numFmtId="0" fontId="82" fillId="54" borderId="111" xfId="54" applyFont="1" applyFill="1" applyBorder="1" applyAlignment="1">
      <alignment horizontal="center"/>
      <protection/>
    </xf>
    <xf numFmtId="0" fontId="82" fillId="55" borderId="112" xfId="54" applyFont="1" applyFill="1" applyBorder="1" applyAlignment="1">
      <alignment horizontal="center"/>
      <protection/>
    </xf>
    <xf numFmtId="0" fontId="14" fillId="50" borderId="113" xfId="54" applyFont="1" applyFill="1" applyBorder="1" applyAlignment="1">
      <alignment horizontal="center"/>
      <protection/>
    </xf>
    <xf numFmtId="1" fontId="14" fillId="50" borderId="114" xfId="54" applyNumberFormat="1" applyFont="1" applyFill="1" applyBorder="1" applyAlignment="1">
      <alignment horizontal="center"/>
      <protection/>
    </xf>
    <xf numFmtId="0" fontId="40" fillId="53" borderId="115" xfId="54" applyFont="1" applyFill="1" applyBorder="1" applyAlignment="1">
      <alignment horizontal="center"/>
      <protection/>
    </xf>
    <xf numFmtId="0" fontId="83" fillId="54" borderId="116" xfId="54" applyFont="1" applyFill="1" applyBorder="1" applyAlignment="1">
      <alignment horizontal="center"/>
      <protection/>
    </xf>
    <xf numFmtId="0" fontId="80" fillId="55" borderId="117" xfId="54" applyFont="1" applyFill="1" applyBorder="1" applyAlignment="1">
      <alignment horizontal="center"/>
      <protection/>
    </xf>
    <xf numFmtId="0" fontId="84" fillId="44" borderId="118" xfId="54" applyFont="1" applyFill="1" applyBorder="1" applyAlignment="1">
      <alignment horizontal="center"/>
      <protection/>
    </xf>
    <xf numFmtId="1" fontId="19" fillId="0" borderId="92" xfId="54" applyNumberFormat="1" applyFont="1" applyFill="1" applyBorder="1" applyAlignment="1">
      <alignment horizontal="center"/>
      <protection/>
    </xf>
    <xf numFmtId="0" fontId="19" fillId="56" borderId="92" xfId="54" applyFont="1" applyFill="1" applyBorder="1" applyAlignment="1">
      <alignment horizontal="center"/>
      <protection/>
    </xf>
    <xf numFmtId="0" fontId="19" fillId="54" borderId="92" xfId="54" applyFont="1" applyFill="1" applyBorder="1" applyAlignment="1">
      <alignment horizontal="center"/>
      <protection/>
    </xf>
    <xf numFmtId="0" fontId="19" fillId="55" borderId="92" xfId="54" applyFont="1" applyFill="1" applyBorder="1" applyAlignment="1">
      <alignment horizontal="center"/>
      <protection/>
    </xf>
    <xf numFmtId="0" fontId="19" fillId="44" borderId="92" xfId="54" applyFont="1" applyFill="1" applyBorder="1" applyAlignment="1">
      <alignment horizontal="center"/>
      <protection/>
    </xf>
    <xf numFmtId="1" fontId="19" fillId="0" borderId="92" xfId="54" applyNumberFormat="1" applyFont="1" applyFill="1" applyBorder="1">
      <alignment/>
      <protection/>
    </xf>
    <xf numFmtId="0" fontId="19" fillId="56" borderId="92" xfId="54" applyFont="1" applyFill="1" applyBorder="1">
      <alignment/>
      <protection/>
    </xf>
    <xf numFmtId="0" fontId="19" fillId="54" borderId="92" xfId="54" applyFont="1" applyFill="1" applyBorder="1">
      <alignment/>
      <protection/>
    </xf>
    <xf numFmtId="0" fontId="19" fillId="55" borderId="92" xfId="54" applyFont="1" applyFill="1" applyBorder="1">
      <alignment/>
      <protection/>
    </xf>
    <xf numFmtId="0" fontId="19" fillId="44" borderId="92" xfId="54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4" applyFont="1" applyFill="1" applyBorder="1" applyAlignment="1">
      <alignment horizontal="center"/>
      <protection/>
    </xf>
    <xf numFmtId="0" fontId="17" fillId="58" borderId="120" xfId="54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2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7" xfId="0" applyFont="1" applyFill="1" applyBorder="1" applyAlignment="1">
      <alignment horizontal="right"/>
    </xf>
    <xf numFmtId="0" fontId="67" fillId="0" borderId="128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9" xfId="0" applyFont="1" applyFill="1" applyBorder="1" applyAlignment="1" applyProtection="1">
      <alignment horizontal="left" vertical="center"/>
      <protection locked="0"/>
    </xf>
    <xf numFmtId="0" fontId="4" fillId="0" borderId="129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9" xfId="0" applyFont="1" applyBorder="1" applyAlignment="1">
      <alignment horizontal="left" vertical="center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12" fillId="35" borderId="132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3" xfId="0" applyNumberFormat="1" applyFont="1" applyFill="1" applyBorder="1" applyAlignment="1" applyProtection="1">
      <alignment horizontal="center" vertical="center"/>
      <protection locked="0"/>
    </xf>
    <xf numFmtId="212" fontId="0" fillId="0" borderId="134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78" fillId="44" borderId="1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36" xfId="0" applyNumberFormat="1" applyFont="1" applyFill="1" applyBorder="1" applyAlignment="1" applyProtection="1">
      <alignment horizontal="right" vertical="center"/>
      <protection/>
    </xf>
    <xf numFmtId="221" fontId="0" fillId="0" borderId="137" xfId="0" applyNumberFormat="1" applyBorder="1" applyAlignment="1">
      <alignment horizontal="right"/>
    </xf>
    <xf numFmtId="222" fontId="34" fillId="35" borderId="137" xfId="0" applyNumberFormat="1" applyFont="1" applyFill="1" applyBorder="1" applyAlignment="1" applyProtection="1">
      <alignment horizontal="left" vertical="center"/>
      <protection/>
    </xf>
    <xf numFmtId="222" fontId="0" fillId="0" borderId="138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erkleur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A2" sqref="A2:B2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0" t="s">
        <v>711</v>
      </c>
      <c r="B1" s="520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527"/>
      <c r="L1" s="528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Fermentis T-58 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0" t="s">
        <v>709</v>
      </c>
      <c r="B2" s="520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27"/>
      <c r="L2" s="528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7.060946148259011</v>
      </c>
      <c r="AA2" s="428"/>
      <c r="AB2" s="529" t="str">
        <f>G3</f>
        <v>Fruitig, kruidig, goede hergister</v>
      </c>
      <c r="AC2" s="52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8</v>
      </c>
      <c r="C3" s="17" t="s">
        <v>6</v>
      </c>
      <c r="D3" s="530" t="s">
        <v>231</v>
      </c>
      <c r="E3" s="530"/>
      <c r="F3" s="530"/>
      <c r="G3" s="535" t="str">
        <f>VLOOKUP(HoofdGist,'Info-Tabellen'!$X:$AB,5,0)</f>
        <v>Fruitig, kruidig, goede hergister</v>
      </c>
      <c r="H3" s="536"/>
      <c r="I3" s="536"/>
      <c r="J3" s="536"/>
      <c r="K3" s="536"/>
      <c r="L3" s="536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1.4</v>
      </c>
      <c r="E4" s="22"/>
      <c r="F4" s="74" t="s">
        <v>590</v>
      </c>
      <c r="G4" s="24">
        <v>99.5</v>
      </c>
      <c r="J4" s="166" t="s">
        <v>619</v>
      </c>
      <c r="K4" s="270">
        <v>60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1.0178186470152197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>
        <f>K52</f>
        <v>0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643</v>
      </c>
      <c r="C5" s="19"/>
      <c r="D5" s="74" t="s">
        <v>592</v>
      </c>
      <c r="E5" s="307" t="s">
        <v>710</v>
      </c>
      <c r="F5" s="22"/>
      <c r="G5" s="19" t="s">
        <v>593</v>
      </c>
      <c r="H5" s="20">
        <v>13.4</v>
      </c>
      <c r="I5" s="358">
        <f>VLOOKUP(HoofdGist,'Info-Tabellen'!$X:$AB,2,0)</f>
        <v>70</v>
      </c>
      <c r="J5" s="359">
        <f>SUM($D$8:$D$18)</f>
        <v>2.5</v>
      </c>
      <c r="K5" s="283">
        <f>IF(Eiwitrust="J",10,0)</f>
        <v>0</v>
      </c>
      <c r="L5" s="360">
        <f>(totplato-VSPrestextract)/(2.0665-0.010665*(totplato))</f>
        <v>6.077286481220407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238</v>
      </c>
      <c r="AA5" s="428"/>
      <c r="AB5" s="529" t="e">
        <f>VLOOKUP(bottelgist,'Info-Tabellen'!$X:$AB,5,0)</f>
        <v>#N/A</v>
      </c>
      <c r="AC5" s="52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13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4.169663612388071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15.785091755273289</v>
      </c>
      <c r="K7" s="47">
        <f>IF(ISNUMBER($J$7),(0.0000152482628*J7*J7+0.0038422807854*J7+1.0000602058824)*1000,"")</f>
        <v>1064.5103568791308</v>
      </c>
      <c r="L7" s="306">
        <f>IF(ISNUMBER($J$7),0.0000005*R7*R7*R7-0.00042273*R7*R7+0.28198838*R7-3.97853928,"")</f>
        <v>16.122457173170787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79.96159214315591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70">
        <f>VLOOKUP(A8,'Info-Tabellen'!$H:$K,2,0)</f>
        <v>80.07</v>
      </c>
      <c r="C8" s="370">
        <f>VLOOKUP(A8,'Info-Tabellen'!$H:$J,3,0)</f>
        <v>3</v>
      </c>
      <c r="D8" s="31">
        <v>2.5</v>
      </c>
      <c r="E8" s="32">
        <f>IF(Gewenste_liters=0,"0",IF(D8=0,"  ",(B8*D8/(Gewenste_liters+hopverlies))*effic))</f>
        <v>15.785091755273289</v>
      </c>
      <c r="F8" s="33">
        <f aca="true" t="shared" si="0" ref="F8:F18">IF(Gewenste_liters=0,"0",IF(D8=0,"  ",1.8*(Q8)^0.69))</f>
        <v>5.840805520092497</v>
      </c>
      <c r="G8" s="276">
        <f aca="true" t="shared" si="1" ref="G8:G16">IF(D8="","  ",(D8*100/Totaalkg))</f>
        <v>90.9090909090909</v>
      </c>
      <c r="H8" s="277">
        <f aca="true" t="shared" si="2" ref="H8:H16">IF(E8="  ","  ",(E8*100/totplato))</f>
        <v>85.72499197030798</v>
      </c>
      <c r="I8" s="298">
        <f aca="true" t="shared" si="3" ref="I8:I23">IF(O8=0,"",E8-(E8*O8/100))</f>
        <v>4.72404745985088</v>
      </c>
      <c r="J8" s="521" t="s">
        <v>621</v>
      </c>
      <c r="K8" s="522"/>
      <c r="L8" s="522"/>
      <c r="M8" s="23"/>
      <c r="N8" s="410">
        <f>IF(D8=0,0,VLOOKUP(A8,'Info-Tabellen'!$H:$K,4,0))</f>
        <v>100</v>
      </c>
      <c r="O8" s="415">
        <f>IF(N8=0,0,(SVGopmout*N8/100)-ATNfactor-Aftrokmaische)</f>
        <v>70.07272727272726</v>
      </c>
      <c r="P8" s="379">
        <f>IF(C8=0,0,C8*0.3748+0.6)</f>
        <v>1.7244000000000002</v>
      </c>
      <c r="Q8" s="379">
        <f>C8*E8/8.6</f>
        <v>5.506427356490683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233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71">
        <f>VLOOKUP(A9,'Info-Tabellen'!$H:$J,2,0)</f>
        <v>0</v>
      </c>
      <c r="C9" s="371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78" t="str">
        <f t="shared" si="1"/>
        <v>  </v>
      </c>
      <c r="H9" s="63" t="str">
        <f t="shared" si="2"/>
        <v>  </v>
      </c>
      <c r="I9" s="299">
        <f t="shared" si="3"/>
      </c>
      <c r="J9" s="523"/>
      <c r="K9" s="524"/>
      <c r="L9" s="524"/>
      <c r="M9" s="305"/>
      <c r="N9" s="411">
        <f>IF(D9=0,0,VLOOKUP(A9,'Info-Tabellen'!$H:$K,4,0))</f>
        <v>0</v>
      </c>
      <c r="O9" s="416">
        <f aca="true" t="shared" si="5" ref="O9:O18">IF(N9=0,0,(SVGopmout*N9/100)-ATNfactor)</f>
        <v>0</v>
      </c>
      <c r="P9" s="379">
        <f aca="true" t="shared" si="6" ref="P9:P24">IF(C9=0,0,C9*0.3748+0.6)</f>
        <v>0</v>
      </c>
      <c r="Q9" s="379" t="e">
        <f aca="true" t="shared" si="7" ref="Q9:Q18">C9*E9/8.6</f>
        <v>#VALUE!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2.6285486458137948</v>
      </c>
      <c r="K10" s="47">
        <f>IF(ISNUMBER($J$7),(0.0000152482628*J10*J10+0.0038422807854*J10+1.0000602058824)*1000,"")</f>
        <v>1010.2651821716662</v>
      </c>
      <c r="L10" s="49">
        <f>IF(ISNUMBER($J$10),$J$10,"")</f>
        <v>2.6285486458137948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22</v>
      </c>
      <c r="AA11" s="428"/>
      <c r="AB11" s="518" t="str">
        <f>VLOOKUP(hop1,'Info-Tabellen'!$R:$V,3,0)</f>
        <v>Universele hop, gebruikt als bitterhop. Wordt in donkere bieren gebruikt, De hopbellen zijn van nature wat bruiner.</v>
      </c>
      <c r="AC11" s="518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18.413640401087083</v>
      </c>
      <c r="K12" s="47">
        <f>IF(ISNUMBER($J$7),(0.0000152482628*J12*J12+0.0038422807854*J12+1.0000602058824)*1000,"")</f>
        <v>1075.9806913965035</v>
      </c>
      <c r="L12" s="49">
        <f>IF(ISNUMBER($J$12),$L$7+$L$10,"")</f>
        <v>18.75100581898458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518"/>
      <c r="AC12" s="518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4.540049054643914</v>
      </c>
      <c r="K14" s="47">
        <f>voorsp_eindSG</f>
        <v>1017.8186470152198</v>
      </c>
      <c r="L14" s="49">
        <f>J14*1.03</f>
        <v>4.676250526283232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135</v>
      </c>
      <c r="AA14" s="428"/>
      <c r="AB14" s="42" t="str">
        <f>hop2</f>
        <v>Fuggles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4.72404745985088</v>
      </c>
      <c r="K15" s="434" t="s">
        <v>679</v>
      </c>
      <c r="L15" s="436">
        <f>SUM(I19:I23)</f>
        <v>-0.18399840520696564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518" t="str">
        <f>VLOOKUP(hop2,'Info-Tabellen'!$R:$V,3,0)</f>
        <v>Mild en aangenaam, gronderig, fruitig. Typisch Engelse hopsmaak. Geeft bier een rond en vol karakter.</v>
      </c>
      <c r="AC15" s="518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25" t="s">
        <v>78</v>
      </c>
      <c r="K16" s="526"/>
      <c r="L16" s="526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518"/>
      <c r="AC16" s="518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0.545589345217395</v>
      </c>
      <c r="K17" s="308" t="s">
        <v>625</v>
      </c>
      <c r="L17" s="206">
        <f>(INT(160*Starter/10))*10</f>
        <v>80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2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69</v>
      </c>
      <c r="B19" s="372">
        <f>VLOOKUP(A19,'Info-Tabellen'!$M:$O,2,0)</f>
        <v>100</v>
      </c>
      <c r="C19" s="372">
        <f>VLOOKUP(A19,'Info-Tabellen'!$M:$O,3,0)</f>
        <v>0.004500101328458176</v>
      </c>
      <c r="D19" s="52">
        <v>0.25</v>
      </c>
      <c r="E19" s="53">
        <f>IF(Gewenste_liters=0,"0",IF(D19=0,"  ",(B19*D19/(Gewenste_liters+hopverlies))))</f>
        <v>2.6285486458137948</v>
      </c>
      <c r="F19" s="54">
        <f>IF(Gewenste_liters=0,"0",IF(D19=0,"  ",B19*D19/100/Gewenste_liters*C19))</f>
        <v>0.000140628166514318</v>
      </c>
      <c r="G19" s="55">
        <f t="shared" si="8"/>
        <v>9.090909090909092</v>
      </c>
      <c r="H19" s="55">
        <f t="shared" si="9"/>
        <v>14.275008029692021</v>
      </c>
      <c r="I19" s="300">
        <f t="shared" si="3"/>
        <v>-0.18399840520696564</v>
      </c>
      <c r="J19" s="314" t="s">
        <v>622</v>
      </c>
      <c r="K19" s="208">
        <f>Starter*1.05</f>
        <v>0.5728688124782648</v>
      </c>
      <c r="L19" s="313" t="s">
        <v>623</v>
      </c>
      <c r="M19" s="23"/>
      <c r="N19" s="412">
        <f>IF(D19=0,0,VLOOKUP(A19,'Info-Tabellen'!$M:$P,4,0))</f>
        <v>100</v>
      </c>
      <c r="O19" s="417">
        <f>IF(N19=0,0,(SVGopsuiker*N19/100))</f>
        <v>107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518">
        <f>VLOOKUP(hop3,'Info-Tabellen'!$R:$V,3,0)</f>
        <v>0</v>
      </c>
      <c r="AC19" s="518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533" t="s">
        <v>624</v>
      </c>
      <c r="K20" s="534"/>
      <c r="L20" s="209">
        <f>Gewenste_liters/21*totplato</f>
        <v>7.014720152795078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518"/>
      <c r="AC20" s="518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10.75963821212479</v>
      </c>
      <c r="L22" s="87">
        <f>$K$22*1.04</f>
        <v>11.190023740609782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518">
        <f>VLOOKUP(hop4,'Info-Tabellen'!$R:$V,3,0)</f>
        <v>0</v>
      </c>
      <c r="AC23" s="518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652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7.048394370080839</v>
      </c>
      <c r="K24" s="318">
        <f>IF($L$10=0,1.035,$L$12/$J$12)</f>
        <v>1.018321494856475</v>
      </c>
      <c r="L24" s="386">
        <f>IF((Gewenste_liters+(1.7*moutkilos)*1.2)&lt;mashwater,mashwater+verkookwater,($K$22*1.18)+(moutkilos*0.75))</f>
        <v>14.571373090307251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518"/>
      <c r="AC24" s="518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2.75</v>
      </c>
      <c r="E25" s="71">
        <f>SUM(E8:E24)</f>
        <v>18.413640401087083</v>
      </c>
      <c r="F25" s="444">
        <f>SUM(F8:F24)</f>
        <v>5.840946148259011</v>
      </c>
      <c r="G25" s="393" t="s">
        <v>666</v>
      </c>
      <c r="H25" s="282"/>
      <c r="I25" s="345">
        <f>SUM(I8:I23)</f>
        <v>4.540049054643914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700</v>
      </c>
      <c r="E26" s="395">
        <f>StamwortSG</f>
        <v>1075.9806913965035</v>
      </c>
      <c r="F26" s="444">
        <f>IF(kleur=0,0,IF(kleur&lt;2,kleur,kleur+(1.22*Kooktijd/60)))</f>
        <v>7.060946148259011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1017.8186470152198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B27" s="367">
        <f>mashwater+E33</f>
        <v>14.571373090307251</v>
      </c>
      <c r="G27" s="181" t="s">
        <v>701</v>
      </c>
      <c r="H27" s="343">
        <f>IF((totplato-VSPrestextract)/(2.0665-0.010665*totplato)=0,0,voorsp_eindSG/1000*VSPalcogewicht/0.794/100)</f>
        <v>0.07790397359999546</v>
      </c>
      <c r="I27" s="347" t="s">
        <v>628</v>
      </c>
      <c r="J27" s="329"/>
      <c r="K27" s="134" t="s">
        <v>633</v>
      </c>
      <c r="L27" s="387">
        <f>Gewenste_liters*(1+VSPalcvol/4)</f>
        <v>8.15580794719999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518">
        <f>VLOOKUP(hop5,'Info-Tabellen'!$R:$V,3,0)</f>
        <v>0</v>
      </c>
      <c r="AC27" s="518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11.475</v>
      </c>
      <c r="C28" s="77" t="s">
        <v>23</v>
      </c>
      <c r="D28" s="334">
        <f>IF(moutkilos=0,55,IF(Aardbier=1,($B$30+tempverlies)*ketelinvloed/100,($B$29+tempverlies)*ketelinvloed/100))</f>
        <v>66.83381529432613</v>
      </c>
      <c r="E28" s="531" t="s">
        <v>681</v>
      </c>
      <c r="F28" s="532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518"/>
      <c r="AC28" s="518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494"/>
      <c r="H29" s="495"/>
      <c r="I29" s="496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45</v>
      </c>
      <c r="E30" s="441"/>
      <c r="F30" s="442"/>
      <c r="G30" s="497"/>
      <c r="H30" s="495"/>
      <c r="I30" s="496"/>
      <c r="J30" s="332" t="s">
        <v>635</v>
      </c>
      <c r="K30" s="134"/>
      <c r="L30" s="250">
        <f>IF(moutkilos=0,"",moutkilos+mashwater)</f>
        <v>13.975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498"/>
      <c r="H31" s="495"/>
      <c r="I31" s="496"/>
      <c r="J31" s="330" t="s">
        <v>650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518">
        <f>VLOOKUP(hop6,'Info-Tabellen'!$R:$V,3,0)</f>
        <v>0</v>
      </c>
      <c r="AC31" s="518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499"/>
      <c r="H32" s="495"/>
      <c r="I32" s="496"/>
      <c r="J32" s="331" t="s">
        <v>636</v>
      </c>
      <c r="K32" s="97"/>
      <c r="L32" s="145" t="s">
        <v>651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518"/>
      <c r="AC32" s="518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3.0963730903072513</v>
      </c>
      <c r="F33" s="95" t="s">
        <v>29</v>
      </c>
      <c r="G33" s="419" t="s">
        <v>609</v>
      </c>
      <c r="H33" s="96"/>
      <c r="I33" s="96"/>
      <c r="L33" s="98">
        <f>$L$22/6.5</f>
        <v>1.7215421139399665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1016.3497689226813</v>
      </c>
      <c r="C34" s="101">
        <f>IF(mashplato&lt;13.4,3,mashplato*mashplato/58)</f>
        <v>4.296019340041323</v>
      </c>
      <c r="D34" s="102">
        <f>C34*1.035</f>
        <v>4.446380016942769</v>
      </c>
      <c r="F34" s="12"/>
      <c r="G34" s="501" t="s">
        <v>641</v>
      </c>
      <c r="H34" s="502"/>
      <c r="I34" s="503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19" t="s">
        <v>34</v>
      </c>
      <c r="AC34" s="519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4" t="s">
        <v>41</v>
      </c>
      <c r="H35" s="505"/>
      <c r="I35" s="506"/>
      <c r="J35" s="110"/>
      <c r="K35" s="111" t="str">
        <f>VLOOKUP(G35,'Info-Tabellen'!$AD:$AF,2,0)</f>
        <v>-</v>
      </c>
      <c r="L35" s="112"/>
      <c r="M35" s="23"/>
      <c r="O35" s="145" t="s">
        <v>644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7" t="str">
        <f>VLOOKUP(G35,'Info-Tabellen'!$AD:$AF,3,0)</f>
        <v>-</v>
      </c>
      <c r="AC35" s="517"/>
      <c r="AD35" s="2"/>
      <c r="AR35" s="427"/>
      <c r="AS35" s="427"/>
      <c r="AT35" s="2"/>
    </row>
    <row r="36" spans="1:46" ht="12" customHeight="1">
      <c r="A36" s="113" t="s">
        <v>330</v>
      </c>
      <c r="B36" s="114" t="s">
        <v>673</v>
      </c>
      <c r="C36" s="115">
        <f>21/30*Gewenste_liters</f>
        <v>5.6</v>
      </c>
      <c r="D36" s="362">
        <f>VLOOKUP(hop1,'Info-Tabellen'!$R:$T,2,0)</f>
        <v>10.3</v>
      </c>
      <c r="E36" s="353">
        <v>15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16.08265495621347</v>
      </c>
      <c r="G36" s="504" t="s">
        <v>41</v>
      </c>
      <c r="H36" s="505"/>
      <c r="I36" s="506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0.014952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6" t="str">
        <f>VLOOKUP(G36,'Info-Tabellen'!$AD:$AF,3,0)</f>
        <v>-</v>
      </c>
      <c r="AC36" s="516"/>
      <c r="AD36" s="2"/>
      <c r="AR36" s="427"/>
      <c r="AS36" s="427"/>
      <c r="AT36" s="2"/>
    </row>
    <row r="37" spans="1:46" ht="12" customHeight="1">
      <c r="A37" s="121" t="s">
        <v>216</v>
      </c>
      <c r="B37" s="122" t="s">
        <v>43</v>
      </c>
      <c r="C37" s="123">
        <f>Gewenste_liters*2</f>
        <v>16</v>
      </c>
      <c r="D37" s="362">
        <f>VLOOKUP(hop2,'Info-Tabellen'!$R:$T,2,0)</f>
        <v>5.3</v>
      </c>
      <c r="E37" s="124">
        <v>55</v>
      </c>
      <c r="F37" s="125">
        <f t="shared" si="10"/>
        <v>3.3835809074938266</v>
      </c>
      <c r="G37" s="504" t="s">
        <v>41</v>
      </c>
      <c r="H37" s="505"/>
      <c r="I37" s="506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0.096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7" t="str">
        <f>VLOOKUP(G37,'Info-Tabellen'!$AD:$AF,3,0)</f>
        <v>-</v>
      </c>
      <c r="AC37" s="517"/>
      <c r="AD37" s="2"/>
      <c r="AR37" s="427"/>
      <c r="AS37" s="427"/>
      <c r="AT37" s="2"/>
    </row>
    <row r="38" spans="1:52" ht="12" customHeight="1">
      <c r="A38" s="113" t="s">
        <v>42</v>
      </c>
      <c r="B38" s="114" t="s">
        <v>43</v>
      </c>
      <c r="C38" s="115"/>
      <c r="D38" s="362">
        <f>VLOOKUP(hop3,'Info-Tabellen'!$R:$T,2,0)</f>
        <v>0</v>
      </c>
      <c r="E38" s="117"/>
      <c r="F38" s="118">
        <f t="shared" si="10"/>
      </c>
      <c r="G38" s="504" t="s">
        <v>41</v>
      </c>
      <c r="H38" s="505"/>
      <c r="I38" s="506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6" t="str">
        <f>VLOOKUP(G38,'Info-Tabellen'!$AD:$AF,3,0)</f>
        <v>-</v>
      </c>
      <c r="AC38" s="516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673</v>
      </c>
      <c r="C39" s="127"/>
      <c r="D39" s="363">
        <f>VLOOKUP(hop4,'Info-Tabellen'!$R:$T,2,0)</f>
        <v>0</v>
      </c>
      <c r="E39" s="128"/>
      <c r="F39" s="125">
        <f t="shared" si="10"/>
      </c>
      <c r="G39" s="504" t="s">
        <v>41</v>
      </c>
      <c r="H39" s="505"/>
      <c r="I39" s="506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7" t="str">
        <f>VLOOKUP(G39,'Info-Tabellen'!$AD:$AF,3,0)</f>
        <v>-</v>
      </c>
      <c r="AC39" s="517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504" t="s">
        <v>41</v>
      </c>
      <c r="H40" s="505"/>
      <c r="I40" s="506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6" t="str">
        <f>VLOOKUP(G40,'Info-Tabellen'!$AD:$AF,3,0)</f>
        <v>-</v>
      </c>
      <c r="AC40" s="516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4" t="s">
        <v>41</v>
      </c>
      <c r="H41" s="505"/>
      <c r="I41" s="506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7" t="str">
        <f>VLOOKUP(G41,'Info-Tabellen'!$AD:$AF,3,0)</f>
        <v>-</v>
      </c>
      <c r="AC41" s="517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4" t="s">
        <v>41</v>
      </c>
      <c r="H42" s="505"/>
      <c r="I42" s="506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1.4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6" t="str">
        <f>VLOOKUP(G42,'Info-Tabellen'!$AD:$AF,3,0)</f>
        <v>-</v>
      </c>
      <c r="AC42" s="516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09" t="s">
        <v>48</v>
      </c>
      <c r="E43" s="510"/>
      <c r="F43" s="321">
        <f>SUM(F36:F42)</f>
        <v>19.466235863707297</v>
      </c>
      <c r="G43" s="504" t="s">
        <v>41</v>
      </c>
      <c r="H43" s="505"/>
      <c r="I43" s="506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1.5109519999999999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7" t="str">
        <f>VLOOKUP(G43,'Info-Tabellen'!$AD:$AF,3,0)</f>
        <v>-</v>
      </c>
      <c r="AC43" s="517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50</v>
      </c>
      <c r="I44" s="141">
        <v>20</v>
      </c>
      <c r="M44" s="23"/>
      <c r="N44" s="398" t="s">
        <v>51</v>
      </c>
      <c r="O44" s="481">
        <f>verkookpercent/100*Kooktijd/60*$L$27</f>
        <v>1.0928782649247988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1.0773</v>
      </c>
      <c r="H45" s="149">
        <v>0</v>
      </c>
      <c r="I45" s="149"/>
      <c r="J45" s="151">
        <f>IF(Stamplato="","",IF(Eindcijfer="","",0.1808*Stamplato+0.8192*Eindplato))</f>
        <v>6.886025538791365</v>
      </c>
      <c r="L45" s="150">
        <f>IF(Stamwort="","",1+(Stamplato/(258.6-0.87955*Stamplato)))</f>
        <v>1.0773096477232298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705</v>
      </c>
      <c r="C46" s="156">
        <f>1067+10.3</f>
        <v>1077.3</v>
      </c>
      <c r="D46" s="157">
        <f>IF(Stamwort="","SG",IF(meter="S.G.",Stamwort,IF(meter="°Plato",(0.0000152482628*Stamwort*Stamwort+0.0038422807854*Stamwort+1.0000602058824)*1000,IF(meter="Brix",259/(259.12955-Stamplato)*1000))))</f>
        <v>1077.3</v>
      </c>
      <c r="E46" s="512">
        <f>IF(Stamwort="","°Plato",IF(meter="°Plato",Stamwort,IF(meter="S.G.",(164.22197*$G$45*$G$45*$G$45-717.63578*$G$45*$G$45+1201.22307*$G$45-647.81258),IF(meter="Brix",Stamwort/Brixratio))))</f>
        <v>18.71939882358049</v>
      </c>
      <c r="F46" s="512"/>
      <c r="G46" s="513">
        <f>IF(Stamwort="","Brix",IF(meter="Brix",Stamwort,IF(meter="°Plato",Stamwort*Brixratio,IF(meter="S.G.",Stamplato*Brixratio))))</f>
        <v>19.062366192843022</v>
      </c>
      <c r="H46" s="513"/>
      <c r="K46" s="483" t="s">
        <v>690</v>
      </c>
      <c r="L46" s="158">
        <v>10.5</v>
      </c>
      <c r="M46" s="23"/>
      <c r="N46" s="407" t="s">
        <v>55</v>
      </c>
      <c r="O46" s="478">
        <f>verkookwater+hopverlies</f>
        <v>2.603830264924799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>
        <v>1046</v>
      </c>
      <c r="G47" s="163" t="s">
        <v>58</v>
      </c>
      <c r="H47" s="164">
        <v>20</v>
      </c>
      <c r="I47" s="286" t="s">
        <v>597</v>
      </c>
      <c r="K47" s="514">
        <v>41561</v>
      </c>
      <c r="L47" s="514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708</v>
      </c>
      <c r="G48" s="19" t="s">
        <v>60</v>
      </c>
      <c r="H48" s="155" t="s">
        <v>705</v>
      </c>
      <c r="I48" s="266"/>
      <c r="K48" s="166" t="s">
        <v>598</v>
      </c>
      <c r="L48" s="156">
        <v>1040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6.338658723407566</v>
      </c>
      <c r="F49" s="167">
        <f>IF(ISNUMBER(alconalager),12-(alconalager*100/1.97),"")</f>
        <v>7.880220666126156</v>
      </c>
      <c r="G49" s="490">
        <f>IF(Eindcijfer="","°Plato",IF(meternadien="°Plato",Eindcijfer,IF(meternadien="S.G.",(259*Eindcijfer/1000-259)/(Eindcijfer/1000-0.0089),Eindcijfer/1.03)))</f>
        <v>10.047522063815356</v>
      </c>
      <c r="H49" s="507">
        <f>IF(Eindcijfer="","Brix",IF(meternadien="Brix",Eindcijfer,IF(meternadien="°Plato",Eindcijfer*Brixratio,IF(meternadien="S.G.",VLeindplato*Brixratio))))</f>
        <v>10.231607687627868</v>
      </c>
      <c r="I49" s="507"/>
      <c r="J49" s="507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1040</v>
      </c>
      <c r="L49" s="487">
        <f>IF(alconalager="","",IF(kleur&gt;107,6,((35000-(kleur^2))/3888)))</f>
        <v>8.99328275413918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4.274363075546891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1016.6309182511964</v>
      </c>
      <c r="F50" s="172"/>
      <c r="J50" s="134" t="s">
        <v>62</v>
      </c>
      <c r="K50" s="173">
        <f>IF(Totaalkg=0,"",IF(Bekomenliter="","",IF(Stamwort="","",StamSG/1000*Bekomenliter*totplato/(Totaalkg)/100)))</f>
        <v>0.7574132925198424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0.7848522865304479</v>
      </c>
      <c r="C51" s="176" t="s">
        <v>64</v>
      </c>
      <c r="E51" s="177"/>
      <c r="F51" s="175">
        <f>IF(Eindcijfer="","",IF(Stamplato="","",(Stamplato-Restextract)/Stamplato))</f>
        <v>0.6321449420631413</v>
      </c>
      <c r="G51" s="178">
        <f>IF(alcogewicht="","",IF(Eindcijfer="","",IF(Bekomenliter="","",EindSG/1000*alcogewicht/0.794/100)))</f>
        <v>0.08115965287731473</v>
      </c>
      <c r="H51" s="179" t="s">
        <v>24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7</v>
      </c>
      <c r="D52" s="186" t="s">
        <v>66</v>
      </c>
      <c r="E52" s="187">
        <v>23</v>
      </c>
      <c r="F52"/>
      <c r="G52" s="188" t="s">
        <v>67</v>
      </c>
      <c r="H52" s="189">
        <v>3</v>
      </c>
      <c r="I52" s="287"/>
      <c r="J52" s="19" t="s">
        <v>629</v>
      </c>
      <c r="K52" s="508"/>
      <c r="L52" s="508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11" t="s">
        <v>69</v>
      </c>
      <c r="C53" s="511"/>
      <c r="F53" s="134" t="s">
        <v>70</v>
      </c>
      <c r="G53" s="60" t="s">
        <v>570</v>
      </c>
      <c r="J53" s="134" t="s">
        <v>71</v>
      </c>
      <c r="K53" s="320">
        <v>7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7</v>
      </c>
      <c r="C54" s="192" t="s">
        <v>73</v>
      </c>
      <c r="D54" s="193">
        <f>IF(Eindcijfer="","",IF(adviessuiker="","",suikergift*Bekomenliter))</f>
        <v>73.5</v>
      </c>
      <c r="F54" s="195">
        <f>IF(Eindcijfer="","",IF(adviessuiker-nietvergist&lt;0,"GEEN",suikergift-nietvergist))</f>
        <v>7</v>
      </c>
      <c r="G54" s="194"/>
      <c r="H54" s="289" t="s">
        <v>74</v>
      </c>
      <c r="I54" s="196">
        <f>IF(Eindcijfer="","",IF(adviessuiker-nietvergist&lt;0,"",(suikergift-nietvergist)*Bekomenliter))</f>
        <v>73.5</v>
      </c>
      <c r="J54" s="288" t="str">
        <f>IF(Eindcijfer="","",IF(suikergift=corsuiker,"Suikergift blijft dezelfde: ","Indien restsuiker verder kan uitgisten:"))</f>
        <v>Suikergift blijft dezelfde: 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0.08540207711973898</v>
      </c>
      <c r="C55" s="199"/>
      <c r="D55" s="200" t="s">
        <v>76</v>
      </c>
      <c r="E55" s="515">
        <f>IF($B$55="","",IF(Botdatum="","",IF($B$55*100&lt;5,((($B$55*100)-5)*30)+215+Botdatum,((($B$55*100)-5)*130)+215+Botdatum)))</f>
      </c>
      <c r="F55" s="515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649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v>9.4</v>
      </c>
      <c r="D57" s="493" t="s">
        <v>707</v>
      </c>
      <c r="E57" s="537">
        <f>ROUNDDOWN(B57/0.33/24,0)</f>
        <v>1</v>
      </c>
      <c r="F57" s="538"/>
      <c r="G57" s="539">
        <f>((B57/0.33/24)-E57)*24</f>
        <v>4.484848484848484</v>
      </c>
      <c r="H57" s="540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500" t="s">
        <v>638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9:AC39"/>
    <mergeCell ref="AB23:AC24"/>
    <mergeCell ref="AB35:AC3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</mergeCells>
  <conditionalFormatting sqref="B3 B6 B44 L30 J17 L46 K53 G1">
    <cfRule type="cellIs" priority="1" dxfId="0" operator="greaterThan" stopIfTrue="1">
      <formula>1</formula>
    </cfRule>
  </conditionalFormatting>
  <dataValidations count="25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27" sqref="S27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646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645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647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648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9.5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5.3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10.3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2013-12-22T21:25:59Z</dcterms:modified>
  <cp:category/>
  <cp:version/>
  <cp:contentType/>
  <cp:contentStatus/>
</cp:coreProperties>
</file>